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<sst xmlns="http://schemas.openxmlformats.org/spreadsheetml/2006/main" count="1423" uniqueCount="258">
  <si>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</si>
  <si>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</si>
  <si>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</si>
  <si>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</si>
  <si>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</si>
  <si>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</si>
  <si>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</si>
  <si>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</si>
  <si>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</si>
  <si>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</si>
  <si>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</si>
  <si>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</si>
  <si>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</si>
  <si>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</si>
  <si>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</si>
  <si>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</si>
  <si>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</si>
  <si>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</si>
  <si>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</si>
  <si>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</si>
  <si>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</si>
  <si>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</si>
  <si>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</si>
  <si>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</si>
  <si>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</si>
  <si>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</si>
  <si>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</si>
  <si>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</si>
  <si>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</si>
  <si>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</si>
  <si>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</si>
  <si>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</si>
  <si>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</si>
  <si>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</si>
  <si>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</si>
  <si>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</si>
  <si>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</si>
  <si>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</si>
  <si>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</si>
  <si>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</si>
  <si>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</si>
  <si>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</si>
  <si>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</si>
  <si>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</si>
  <si>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</si>
  <si>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</si>
  <si>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</si>
  <si>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</si>
  <si>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</si>
  <si>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</si>
  <si>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</si>
  <si>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</si>
  <si>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</si>
  <si>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</si>
  <si>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</si>
  <si>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</si>
  <si>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</si>
  <si>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</si>
  <si>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</si>
  <si>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</si>
  <si>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</si>
  <si>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</si>
  <si>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</si>
  <si>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</si>
  <si>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</si>
  <si>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</si>
  <si>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</si>
  <si>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</si>
  <si>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</si>
  <si>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</si>
  <si>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</si>
  <si>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</si>
  <si>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</si>
  <si>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</si>
  <si>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</si>
  <si>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</si>
  <si>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</si>
  <si>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</si>
  <si>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</si>
  <si>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</si>
  <si>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</si>
  <si>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</si>
  <si>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</si>
  <si>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</si>
  <si>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</si>
  <si>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</si>
  <si>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</si>
  <si>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</si>
  <si>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</si>
  <si>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</si>
  <si>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</si>
  <si>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</si>
  <si>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</si>
  <si>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</si>
  <si>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</si>
  <si>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</si>
  <si>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</si>
  <si>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</si>
  <si>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</si>
  <si>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</si>
  <si>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</si>
  <si>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</si>
  <si>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</si>
  <si>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</si>
  <si>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</si>
  <si>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</si>
  <si>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</si>
  <si>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</si>
  <si>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</si>
  <si>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</si>
  <si>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</si>
  <si>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</si>
  <si>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</si>
  <si>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</si>
  <si>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</si>
  <si>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</si>
  <si>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</si>
  <si>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</si>
  <si>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</si>
  <si>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</si>
  <si>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</si>
  <si>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</si>
  <si>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</si>
  <si>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</si>
  <si>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</si>
  <si>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</si>
  <si>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</si>
  <si>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</si>
  <si>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</si>
  <si>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</si>
  <si>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</si>
  <si>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</si>
  <si>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</si>
  <si>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</si>
  <si>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</si>
  <si>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</si>
  <si>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</si>
  <si>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</si>
  <si>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</si>
  <si>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</si>
  <si>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</si>
  <si>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</si>
  <si>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</si>
  <si>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</si>
  <si>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</si>
  <si>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</si>
  <si>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</si>
  <si>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</si>
  <si>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</si>
  <si>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</si>
  <si>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</si>
  <si>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</si>
  <si>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</si>
  <si>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</si>
  <si>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</si>
  <si>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</si>
  <si>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</si>
  <si>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</si>
  <si>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</si>
  <si>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</si>
  <si>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</si>
  <si>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</si>
  <si>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</si>
  <si>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</si>
  <si>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</si>
  <si>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</si>
  <si>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</si>
  <si>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</si>
  <si>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</si>
  <si>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</si>
  <si>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</si>
  <si>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</si>
  <si>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</si>
  <si>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</si>
  <si>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</si>
  <si>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</si>
  <si>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</si>
  <si>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</si>
  <si>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</si>
  <si>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</si>
  <si>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</si>
  <si>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</si>
  <si>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</si>
  <si>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</si>
  <si>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</si>
  <si>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</si>
  <si>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</si>
  <si>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</si>
  <si>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</si>
  <si>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</si>
  <si>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</si>
  <si>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</si>
  <si>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</si>
  <si>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</si>
  <si>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</si>
  <si>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</si>
  <si>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</si>
  <si>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</si>
  <si>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</si>
  <si>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</si>
  <si>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</si>
  <si>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</si>
  <si>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</si>
  <si>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</si>
  <si>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</si>
  <si>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</si>
  <si>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</si>
  <si>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</si>
  <si>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</si>
  <si>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</si>
  <si>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</si>
  <si>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</si>
  <si>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</si>
  <si>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</si>
  <si>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</si>
  <si>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</si>
  <si>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</si>
  <si>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</si>
  <si>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</si>
  <si>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</si>
  <si>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</si>
  <si>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</si>
  <si>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</si>
  <si>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</si>
  <si>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</si>
  <si>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</si>
  <si>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</si>
  <si>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</si>
  <si>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</si>
  <si>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</si>
  <si>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</si>
  <si>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</si>
  <si>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</si>
  <si>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</si>
  <si>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</si>
  <si>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</si>
  <si>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</si>
  <si>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</si>
  <si>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</si>
  <si>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</si>
  <si>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</si>
  <si>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</si>
  <si>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</si>
  <si>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</si>
  <si>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</si>
  <si>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</si>
  <si>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</si>
  <si>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</si>
  <si>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</si>
  <si>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</si>
  <si>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</si>
  <si>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</si>
  <si>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</si>
  <si>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</si>
  <si>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</si>
  <si>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</si>
  <si>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</si>
  <si>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14.07.14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</si>
</sst>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44787073.38999999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7" sqref="I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5" t="s">
        <v>254</v>
      </c>
      <c r="L4" s="166"/>
      <c r="M4" s="204"/>
      <c r="N4" s="183" t="s">
        <v>257</v>
      </c>
      <c r="O4" s="185" t="s">
        <v>136</v>
      </c>
      <c r="P4" s="185" t="s">
        <v>135</v>
      </c>
      <c r="Q4" s="165" t="s">
        <v>255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240468.68000000002</v>
      </c>
      <c r="G8" s="22">
        <f aca="true" t="shared" si="0" ref="G8:G30">F8-E8</f>
        <v>-30766.02999999994</v>
      </c>
      <c r="H8" s="51">
        <f>F8/E8*100</f>
        <v>88.65704540543504</v>
      </c>
      <c r="I8" s="36">
        <f aca="true" t="shared" si="1" ref="I8:I17">F8-D8</f>
        <v>-248007.61999999997</v>
      </c>
      <c r="J8" s="36">
        <f aca="true" t="shared" si="2" ref="J8:J14">F8/D8*100</f>
        <v>49.22832080082494</v>
      </c>
      <c r="K8" s="36">
        <f>F8-267884.5</f>
        <v>-27415.819999999978</v>
      </c>
      <c r="L8" s="136">
        <f>F8/267884.5</f>
        <v>0.8976580578570242</v>
      </c>
      <c r="M8" s="22">
        <f>M10+M19+M33+M56+M68+M30</f>
        <v>37968.180000000015</v>
      </c>
      <c r="N8" s="22">
        <f>N10+N19+N33+N56+N68+N30</f>
        <v>14049.659999999996</v>
      </c>
      <c r="O8" s="36">
        <f aca="true" t="shared" si="3" ref="O8:O71">N8-M8</f>
        <v>-23918.52000000002</v>
      </c>
      <c r="P8" s="36">
        <f>F8/M8*100</f>
        <v>633.3426569300923</v>
      </c>
      <c r="Q8" s="36">
        <f>N8-39945.7</f>
        <v>-25896.04</v>
      </c>
      <c r="R8" s="134">
        <f>N8/39945.7</f>
        <v>0.3517189584861449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195409.94</v>
      </c>
      <c r="G9" s="22">
        <f t="shared" si="0"/>
        <v>195409.94</v>
      </c>
      <c r="H9" s="20"/>
      <c r="I9" s="56">
        <f t="shared" si="1"/>
        <v>-191603.26</v>
      </c>
      <c r="J9" s="56">
        <f t="shared" si="2"/>
        <v>50.491802346793335</v>
      </c>
      <c r="K9" s="56"/>
      <c r="L9" s="135"/>
      <c r="M9" s="20">
        <f>M10+M17</f>
        <v>30824.800000000017</v>
      </c>
      <c r="N9" s="20">
        <f>N10+N17</f>
        <v>12411.809999999998</v>
      </c>
      <c r="O9" s="36">
        <f t="shared" si="3"/>
        <v>-18412.99000000002</v>
      </c>
      <c r="P9" s="56">
        <f>F9/M9*100</f>
        <v>633.9374140302609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195409.94</v>
      </c>
      <c r="G10" s="49">
        <f t="shared" si="0"/>
        <v>-25961.160000000003</v>
      </c>
      <c r="H10" s="40">
        <f aca="true" t="shared" si="4" ref="H10:H17">F10/E10*100</f>
        <v>88.27256132349706</v>
      </c>
      <c r="I10" s="56">
        <f t="shared" si="1"/>
        <v>-191603.26</v>
      </c>
      <c r="J10" s="56">
        <f t="shared" si="2"/>
        <v>50.491802346793335</v>
      </c>
      <c r="K10" s="141">
        <f>F10-211325.8</f>
        <v>-15915.859999999986</v>
      </c>
      <c r="L10" s="142">
        <f>F10/211325.8</f>
        <v>0.9246856749152258</v>
      </c>
      <c r="M10" s="40">
        <f>E10-червень!E10</f>
        <v>30824.800000000017</v>
      </c>
      <c r="N10" s="40">
        <f>F10-червень!F10</f>
        <v>12411.809999999998</v>
      </c>
      <c r="O10" s="53">
        <f t="shared" si="3"/>
        <v>-18412.99000000002</v>
      </c>
      <c r="P10" s="56">
        <f aca="true" t="shared" si="5" ref="P10:P17">N10/M10*100</f>
        <v>40.26566271314004</v>
      </c>
      <c r="Q10" s="141">
        <f>N10-32192.1</f>
        <v>-19780.29</v>
      </c>
      <c r="R10" s="142">
        <f>N10/32192.1</f>
        <v>0.38555453045933624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330.76</v>
      </c>
      <c r="G19" s="49">
        <f t="shared" si="0"/>
        <v>-702.8399999999999</v>
      </c>
      <c r="H19" s="40">
        <f aca="true" t="shared" si="6" ref="H19:H29">F19/E19*100</f>
        <v>32.00077399380805</v>
      </c>
      <c r="I19" s="56">
        <f aca="true" t="shared" si="7" ref="I19:I29">F19-D19</f>
        <v>-669.24</v>
      </c>
      <c r="J19" s="56">
        <f aca="true" t="shared" si="8" ref="J19:J29">F19/D19*100</f>
        <v>33.076</v>
      </c>
      <c r="K19" s="56">
        <f>F19-6042.8</f>
        <v>-5712.04</v>
      </c>
      <c r="L19" s="135">
        <f>F19/6042.8</f>
        <v>0.054736214999669026</v>
      </c>
      <c r="M19" s="40">
        <f>E19-червень!E19</f>
        <v>10.999999999999886</v>
      </c>
      <c r="N19" s="40">
        <f>F19-червень!F19</f>
        <v>12.889999999999986</v>
      </c>
      <c r="O19" s="53">
        <f t="shared" si="3"/>
        <v>1.8900000000001</v>
      </c>
      <c r="P19" s="56">
        <f aca="true" t="shared" si="9" ref="P19:P29">N19/M19*100</f>
        <v>117.18181818181928</v>
      </c>
      <c r="Q19" s="56">
        <f>N19-422.4</f>
        <v>-409.51</v>
      </c>
      <c r="R19" s="135">
        <f>N19/422.4</f>
        <v>0.030516098484848455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41026.49</v>
      </c>
      <c r="G33" s="49">
        <f aca="true" t="shared" si="14" ref="G33:G72">F33-E33</f>
        <v>-3834.6200000000026</v>
      </c>
      <c r="H33" s="40">
        <f aca="true" t="shared" si="15" ref="H33:H67">F33/E33*100</f>
        <v>91.45224003596879</v>
      </c>
      <c r="I33" s="56">
        <f>F33-D33</f>
        <v>-52539.51</v>
      </c>
      <c r="J33" s="56">
        <f aca="true" t="shared" si="16" ref="J33:J72">F33/D33*100</f>
        <v>43.84764764978731</v>
      </c>
      <c r="K33" s="141">
        <f>F33-46836.9</f>
        <v>-5810.4100000000035</v>
      </c>
      <c r="L33" s="142">
        <f>F33/46836.9</f>
        <v>0.8759437537497143</v>
      </c>
      <c r="M33" s="40">
        <f>E33-червень!E33</f>
        <v>6579.879999999997</v>
      </c>
      <c r="N33" s="40">
        <f>F33-червень!F33</f>
        <v>1193.4300000000003</v>
      </c>
      <c r="O33" s="53">
        <f t="shared" si="3"/>
        <v>-5386.449999999997</v>
      </c>
      <c r="P33" s="56">
        <f aca="true" t="shared" si="17" ref="P33:P67">N33/M33*100</f>
        <v>18.137564818811295</v>
      </c>
      <c r="Q33" s="141">
        <f>N33-6866.9</f>
        <v>-5673.469999999999</v>
      </c>
      <c r="R33" s="142">
        <f>N33/6866.9</f>
        <v>0.17379457979583224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60624.35</v>
      </c>
      <c r="G55" s="144">
        <f t="shared" si="14"/>
        <v>27513.54</v>
      </c>
      <c r="H55" s="146">
        <f t="shared" si="15"/>
        <v>183.09533955828928</v>
      </c>
      <c r="I55" s="145">
        <f t="shared" si="18"/>
        <v>-9641.650000000001</v>
      </c>
      <c r="J55" s="145">
        <f t="shared" si="16"/>
        <v>86.27835653089687</v>
      </c>
      <c r="K55" s="148">
        <f>F55-33694.14</f>
        <v>26930.21</v>
      </c>
      <c r="L55" s="149">
        <f>F55/33694.14</f>
        <v>1.7992550039858564</v>
      </c>
      <c r="M55" s="40">
        <f>E55-червень!E55</f>
        <v>4779.879999999997</v>
      </c>
      <c r="N55" s="40">
        <f>F55-червень!F55</f>
        <v>30857.76</v>
      </c>
      <c r="O55" s="148">
        <f t="shared" si="3"/>
        <v>26077.88</v>
      </c>
      <c r="P55" s="148">
        <f t="shared" si="17"/>
        <v>645.5760395658472</v>
      </c>
      <c r="Q55" s="163">
        <f>N55-4878.99</f>
        <v>25978.769999999997</v>
      </c>
      <c r="R55" s="164">
        <f>N55/4878.99</f>
        <v>6.324620464481378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0.36+3697.24</f>
        <v>3697.6</v>
      </c>
      <c r="G56" s="49">
        <f t="shared" si="14"/>
        <v>-252.70000000000027</v>
      </c>
      <c r="H56" s="40">
        <f t="shared" si="15"/>
        <v>93.60301749234235</v>
      </c>
      <c r="I56" s="56">
        <f t="shared" si="18"/>
        <v>-3162.4</v>
      </c>
      <c r="J56" s="56">
        <f t="shared" si="16"/>
        <v>53.900874635568506</v>
      </c>
      <c r="K56" s="56">
        <f>F56-3653.5</f>
        <v>44.09999999999991</v>
      </c>
      <c r="L56" s="135">
        <f>F56/3653.5</f>
        <v>1.0120706172163678</v>
      </c>
      <c r="M56" s="40">
        <f>E56-червень!E56</f>
        <v>552</v>
      </c>
      <c r="N56" s="40">
        <f>F56-червень!F56</f>
        <v>431.52999999999975</v>
      </c>
      <c r="O56" s="53">
        <f t="shared" si="3"/>
        <v>-120.47000000000025</v>
      </c>
      <c r="P56" s="56">
        <f t="shared" si="17"/>
        <v>78.17572463768111</v>
      </c>
      <c r="Q56" s="56">
        <f>N56-464.2</f>
        <v>-32.67000000000024</v>
      </c>
      <c r="R56" s="135">
        <f>N56/464.2</f>
        <v>0.9296208530805682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7232.869999999999</v>
      </c>
      <c r="G74" s="50">
        <f aca="true" t="shared" si="24" ref="G74:G92">F74-E74</f>
        <v>-1746.130000000001</v>
      </c>
      <c r="H74" s="51">
        <f aca="true" t="shared" si="25" ref="H74:H87">F74/E74*100</f>
        <v>80.55317964138544</v>
      </c>
      <c r="I74" s="36">
        <f aca="true" t="shared" si="26" ref="I74:I92">F74-D74</f>
        <v>-11125.43</v>
      </c>
      <c r="J74" s="36">
        <f aca="true" t="shared" si="27" ref="J74:J92">F74/D74*100</f>
        <v>39.3983647723373</v>
      </c>
      <c r="K74" s="36">
        <f>F74-11260</f>
        <v>-4027.130000000001</v>
      </c>
      <c r="L74" s="136">
        <f>F74/11260</f>
        <v>0.6423507992895203</v>
      </c>
      <c r="M74" s="22">
        <f>M77+M86+M88+M89+M94+M95+M96+M97+M99+M87+M104</f>
        <v>1550.5</v>
      </c>
      <c r="N74" s="22">
        <f>N77+N86+N88+N89+N94+N95+N96+N97+N99+N32+N104+N87+N103</f>
        <v>891.2900000000004</v>
      </c>
      <c r="O74" s="55">
        <f aca="true" t="shared" si="28" ref="O74:O92">N74-M74</f>
        <v>-659.2099999999996</v>
      </c>
      <c r="P74" s="36">
        <f>N74/M74*100</f>
        <v>57.484037407288</v>
      </c>
      <c r="Q74" s="36">
        <f>N74-2110.7</f>
        <v>-1219.4099999999994</v>
      </c>
      <c r="R74" s="136">
        <f>N74/2110.7</f>
        <v>0.42227223196096103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63.5</v>
      </c>
      <c r="G89" s="49">
        <f t="shared" si="24"/>
        <v>-35.5</v>
      </c>
      <c r="H89" s="40">
        <f>F89/E89*100</f>
        <v>64.14141414141415</v>
      </c>
      <c r="I89" s="56">
        <f t="shared" si="26"/>
        <v>-111.5</v>
      </c>
      <c r="J89" s="56">
        <f t="shared" si="27"/>
        <v>36.285714285714285</v>
      </c>
      <c r="K89" s="56">
        <f>F89-94</f>
        <v>-30.5</v>
      </c>
      <c r="L89" s="135">
        <f>F89/94</f>
        <v>0.675531914893617</v>
      </c>
      <c r="M89" s="40">
        <f>E89-червень!E89</f>
        <v>15</v>
      </c>
      <c r="N89" s="40">
        <f>F89-червень!F89</f>
        <v>1.7299999999999969</v>
      </c>
      <c r="O89" s="53">
        <f t="shared" si="28"/>
        <v>-13.270000000000003</v>
      </c>
      <c r="P89" s="56">
        <f>N89/M89*100</f>
        <v>11.533333333333312</v>
      </c>
      <c r="Q89" s="56">
        <f>N89-12.8</f>
        <v>-11.070000000000004</v>
      </c>
      <c r="R89" s="135">
        <f>N89/12.8</f>
        <v>0.13515624999999976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456.19</v>
      </c>
      <c r="G96" s="49">
        <f t="shared" si="31"/>
        <v>-148.31</v>
      </c>
      <c r="H96" s="40">
        <f>F96/E96*100</f>
        <v>75.46567411083541</v>
      </c>
      <c r="I96" s="56">
        <f t="shared" si="32"/>
        <v>-743.81</v>
      </c>
      <c r="J96" s="56">
        <f>F96/D96*100</f>
        <v>38.01583333333333</v>
      </c>
      <c r="K96" s="56">
        <f>F96-602.5</f>
        <v>-146.31</v>
      </c>
      <c r="L96" s="135">
        <f>F96/602.5</f>
        <v>0.7571618257261411</v>
      </c>
      <c r="M96" s="40">
        <f>E96-червень!E96</f>
        <v>130</v>
      </c>
      <c r="N96" s="40">
        <f>F96-червень!F96</f>
        <v>40.860000000000014</v>
      </c>
      <c r="O96" s="53">
        <f t="shared" si="33"/>
        <v>-89.13999999999999</v>
      </c>
      <c r="P96" s="56">
        <f>N96/M96*100</f>
        <v>31.43076923076924</v>
      </c>
      <c r="Q96" s="56">
        <f>N96-139.4</f>
        <v>-98.53999999999999</v>
      </c>
      <c r="R96" s="135">
        <f>N96/139.4</f>
        <v>0.29311334289813495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2225.92</v>
      </c>
      <c r="G99" s="49">
        <f t="shared" si="31"/>
        <v>38.92000000000007</v>
      </c>
      <c r="H99" s="40">
        <f>F99/E99*100</f>
        <v>101.7796067672611</v>
      </c>
      <c r="I99" s="56">
        <f t="shared" si="32"/>
        <v>-2346.7799999999997</v>
      </c>
      <c r="J99" s="56">
        <f>F99/D99*100</f>
        <v>48.67846130295012</v>
      </c>
      <c r="K99" s="56">
        <f>F99-2623.7</f>
        <v>-397.77999999999975</v>
      </c>
      <c r="L99" s="135">
        <f>F99/2623.7</f>
        <v>0.848389678698022</v>
      </c>
      <c r="M99" s="40">
        <f>E99-червень!E99</f>
        <v>350</v>
      </c>
      <c r="N99" s="40">
        <f>F99-червень!F99</f>
        <v>256.6400000000001</v>
      </c>
      <c r="O99" s="53">
        <f t="shared" si="33"/>
        <v>-93.3599999999999</v>
      </c>
      <c r="P99" s="56">
        <f>N99/M99*100</f>
        <v>73.32571428571431</v>
      </c>
      <c r="Q99" s="56">
        <f>N99-632</f>
        <v>-375.3599999999999</v>
      </c>
      <c r="R99" s="135">
        <f>N99/632</f>
        <v>0.40607594936708874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441.7</v>
      </c>
      <c r="G102" s="144"/>
      <c r="H102" s="146"/>
      <c r="I102" s="145"/>
      <c r="J102" s="145"/>
      <c r="K102" s="148">
        <f>F102-325</f>
        <v>116.69999999999999</v>
      </c>
      <c r="L102" s="149">
        <f>F102/325</f>
        <v>1.359076923076923</v>
      </c>
      <c r="M102" s="40">
        <f>E102-червень!E102</f>
        <v>0</v>
      </c>
      <c r="N102" s="40">
        <f>F102-червень!F102</f>
        <v>78.39999999999998</v>
      </c>
      <c r="O102" s="53"/>
      <c r="P102" s="60"/>
      <c r="Q102" s="60">
        <f>N102-80.2</f>
        <v>-1.8000000000000256</v>
      </c>
      <c r="R102" s="138">
        <f>N102/80.2</f>
        <v>0.9775561097256855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247715.76</v>
      </c>
      <c r="G107" s="50">
        <f>F107-E107</f>
        <v>-32516.149999999965</v>
      </c>
      <c r="H107" s="51">
        <f>F107/E107*100</f>
        <v>88.39669971917189</v>
      </c>
      <c r="I107" s="36">
        <f t="shared" si="34"/>
        <v>-259163.83999999997</v>
      </c>
      <c r="J107" s="36">
        <f t="shared" si="36"/>
        <v>48.87072985379566</v>
      </c>
      <c r="K107" s="36">
        <f>F107-279160.4</f>
        <v>-31444.640000000014</v>
      </c>
      <c r="L107" s="136">
        <f>F107/279160.4</f>
        <v>0.8873599550652599</v>
      </c>
      <c r="M107" s="22">
        <f>M8+M74+M105+M106</f>
        <v>39521.680000000015</v>
      </c>
      <c r="N107" s="22">
        <f>N8+N74+N105+N106</f>
        <v>14941.169999999996</v>
      </c>
      <c r="O107" s="55">
        <f t="shared" si="35"/>
        <v>-24580.510000000017</v>
      </c>
      <c r="P107" s="36">
        <f>N107/M107*100</f>
        <v>37.80499715599132</v>
      </c>
      <c r="Q107" s="36">
        <f>N107-42056.4</f>
        <v>-27115.230000000003</v>
      </c>
      <c r="R107" s="136">
        <f>N107/42056.4</f>
        <v>0.35526507261677165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195866.13</v>
      </c>
      <c r="G108" s="71">
        <f>G10-G18+G96</f>
        <v>-26109.470000000005</v>
      </c>
      <c r="H108" s="72">
        <f>F108/E108*100</f>
        <v>88.2376846824606</v>
      </c>
      <c r="I108" s="52">
        <f t="shared" si="34"/>
        <v>-192347.07</v>
      </c>
      <c r="J108" s="52">
        <f t="shared" si="36"/>
        <v>50.453238066093576</v>
      </c>
      <c r="K108" s="52">
        <f>F108-212017.3</f>
        <v>-16151.169999999984</v>
      </c>
      <c r="L108" s="137">
        <f>F108/212017.3</f>
        <v>0.9238214523060148</v>
      </c>
      <c r="M108" s="71">
        <f>M10-M18+M96</f>
        <v>30954.800000000017</v>
      </c>
      <c r="N108" s="71">
        <f>N10-N18+N96</f>
        <v>12452.669999999998</v>
      </c>
      <c r="O108" s="53">
        <f t="shared" si="35"/>
        <v>-18502.13000000002</v>
      </c>
      <c r="P108" s="52">
        <f>N108/M108*100</f>
        <v>40.228559060307255</v>
      </c>
      <c r="Q108" s="52">
        <f>N108-32331.5</f>
        <v>-19878.83</v>
      </c>
      <c r="R108" s="137">
        <f>N108/32331.5</f>
        <v>0.38515596245147915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51849.630000000005</v>
      </c>
      <c r="G109" s="62">
        <f>F109-E109</f>
        <v>-6406.679999999964</v>
      </c>
      <c r="H109" s="72">
        <f>F109/E109*100</f>
        <v>89.0025990317616</v>
      </c>
      <c r="I109" s="52">
        <f t="shared" si="34"/>
        <v>-66816.76999999996</v>
      </c>
      <c r="J109" s="52">
        <f t="shared" si="36"/>
        <v>43.693606614846345</v>
      </c>
      <c r="K109" s="52">
        <f>F109-67143.1</f>
        <v>-15293.470000000001</v>
      </c>
      <c r="L109" s="137">
        <f>F109/67143.1</f>
        <v>0.7722257387579662</v>
      </c>
      <c r="M109" s="71">
        <f>M107-M108</f>
        <v>8566.879999999997</v>
      </c>
      <c r="N109" s="71">
        <f>N107-N108</f>
        <v>2488.499999999998</v>
      </c>
      <c r="O109" s="53">
        <f t="shared" si="35"/>
        <v>-6078.379999999999</v>
      </c>
      <c r="P109" s="52">
        <f>N109/M109*100</f>
        <v>29.047914760099346</v>
      </c>
      <c r="Q109" s="52">
        <f>N109-9724.9</f>
        <v>-7236.4000000000015</v>
      </c>
      <c r="R109" s="137">
        <f>N109/9924.9</f>
        <v>0.2507330048665476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195866.13</v>
      </c>
      <c r="G110" s="111">
        <f>F110-E110</f>
        <v>-20739.570000000007</v>
      </c>
      <c r="H110" s="72">
        <f>F110/E110*100</f>
        <v>90.42519656684934</v>
      </c>
      <c r="I110" s="81">
        <f t="shared" si="34"/>
        <v>-192347.07</v>
      </c>
      <c r="J110" s="52">
        <f t="shared" si="36"/>
        <v>50.453238066093576</v>
      </c>
      <c r="K110" s="52"/>
      <c r="L110" s="137"/>
      <c r="M110" s="72">
        <f>E110-травень!E109</f>
        <v>65489.30000000002</v>
      </c>
      <c r="N110" s="71">
        <f>N108</f>
        <v>12452.669999999998</v>
      </c>
      <c r="O110" s="118">
        <f t="shared" si="35"/>
        <v>-53036.63000000002</v>
      </c>
      <c r="P110" s="52">
        <f>N110/M110*100</f>
        <v>19.01481616080794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681.19</v>
      </c>
      <c r="G115" s="49">
        <f t="shared" si="37"/>
        <v>-1343.4099999999999</v>
      </c>
      <c r="H115" s="40">
        <f aca="true" t="shared" si="39" ref="H115:H126">F115/E115*100</f>
        <v>33.64565840165959</v>
      </c>
      <c r="I115" s="60">
        <f t="shared" si="38"/>
        <v>-2990.31</v>
      </c>
      <c r="J115" s="60">
        <f aca="true" t="shared" si="40" ref="J115:J121">F115/D115*100</f>
        <v>18.553452267465616</v>
      </c>
      <c r="K115" s="60">
        <f>F115-2198.8</f>
        <v>-1517.6100000000001</v>
      </c>
      <c r="L115" s="138">
        <f>F115/2198.8</f>
        <v>0.3098008004366018</v>
      </c>
      <c r="M115" s="40">
        <f>E115-червень!E115</f>
        <v>327.5</v>
      </c>
      <c r="N115" s="40">
        <f>F115-червень!F115</f>
        <v>75.11000000000001</v>
      </c>
      <c r="O115" s="53">
        <f aca="true" t="shared" si="41" ref="O115:O126">N115-M115</f>
        <v>-252.39</v>
      </c>
      <c r="P115" s="60">
        <f>N115/M115*100</f>
        <v>22.934351145038175</v>
      </c>
      <c r="Q115" s="60">
        <f>N115-307.3</f>
        <v>-232.19</v>
      </c>
      <c r="R115" s="138">
        <f>N115/307.3</f>
        <v>0.24441913439635538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179.93</v>
      </c>
      <c r="G116" s="49">
        <f t="shared" si="37"/>
        <v>23.430000000000007</v>
      </c>
      <c r="H116" s="40">
        <f t="shared" si="39"/>
        <v>114.97124600638978</v>
      </c>
      <c r="I116" s="60">
        <f t="shared" si="38"/>
        <v>-88.17000000000002</v>
      </c>
      <c r="J116" s="60">
        <f t="shared" si="40"/>
        <v>67.1130175307721</v>
      </c>
      <c r="K116" s="60">
        <f>F116-153.8</f>
        <v>26.129999999999995</v>
      </c>
      <c r="L116" s="138">
        <f>F116/153.8</f>
        <v>1.1698959687906372</v>
      </c>
      <c r="M116" s="40">
        <f>E116-червень!E116</f>
        <v>22</v>
      </c>
      <c r="N116" s="40">
        <f>F116-червень!F116</f>
        <v>14.719999999999999</v>
      </c>
      <c r="O116" s="53">
        <f t="shared" si="41"/>
        <v>-7.280000000000001</v>
      </c>
      <c r="P116" s="60">
        <f>N116/M116*100</f>
        <v>66.9090909090909</v>
      </c>
      <c r="Q116" s="60">
        <f>N116-22.6</f>
        <v>-7.880000000000003</v>
      </c>
      <c r="R116" s="138">
        <f>N116/22.6</f>
        <v>0.6513274336283185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859.98</v>
      </c>
      <c r="G117" s="62">
        <f t="shared" si="37"/>
        <v>-1321.12</v>
      </c>
      <c r="H117" s="72">
        <f t="shared" si="39"/>
        <v>39.4287286231718</v>
      </c>
      <c r="I117" s="61">
        <f t="shared" si="38"/>
        <v>-3079.62</v>
      </c>
      <c r="J117" s="61">
        <f t="shared" si="40"/>
        <v>21.82911970758453</v>
      </c>
      <c r="K117" s="61">
        <f>F117-2366</f>
        <v>-1506.02</v>
      </c>
      <c r="L117" s="139">
        <f>F117/2366</f>
        <v>0.36347421808960273</v>
      </c>
      <c r="M117" s="62">
        <f>M115+M116+M114</f>
        <v>349.5</v>
      </c>
      <c r="N117" s="38">
        <f>SUM(N114:N116)</f>
        <v>89.83000000000001</v>
      </c>
      <c r="O117" s="61">
        <f t="shared" si="41"/>
        <v>-259.66999999999996</v>
      </c>
      <c r="P117" s="61">
        <f>N117/M117*100</f>
        <v>25.702432045779688</v>
      </c>
      <c r="Q117" s="61">
        <f>N117-335.5</f>
        <v>-245.67</v>
      </c>
      <c r="R117" s="139">
        <f>N117/335.5</f>
        <v>0.2677496274217586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145.35</v>
      </c>
      <c r="G119" s="49">
        <f t="shared" si="37"/>
        <v>-37.150000000000006</v>
      </c>
      <c r="H119" s="40">
        <f t="shared" si="39"/>
        <v>79.64383561643835</v>
      </c>
      <c r="I119" s="60">
        <f t="shared" si="38"/>
        <v>-121.85</v>
      </c>
      <c r="J119" s="60">
        <f t="shared" si="40"/>
        <v>54.397455089820355</v>
      </c>
      <c r="K119" s="60">
        <f>F119-172.6</f>
        <v>-27.25</v>
      </c>
      <c r="L119" s="138">
        <f>F119/172.6</f>
        <v>0.8421205098493627</v>
      </c>
      <c r="M119" s="40">
        <f>E119-червень!E119</f>
        <v>73</v>
      </c>
      <c r="N119" s="40">
        <f>F119-червень!F119</f>
        <v>7.069999999999993</v>
      </c>
      <c r="O119" s="53">
        <f>N119-M119</f>
        <v>-65.93</v>
      </c>
      <c r="P119" s="60">
        <f>N119/M119*100</f>
        <v>9.684931506849306</v>
      </c>
      <c r="Q119" s="60">
        <f>N119-76.8</f>
        <v>-69.73</v>
      </c>
      <c r="R119" s="138">
        <f>N119/76.8</f>
        <v>0.09205729166666658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40916.28</v>
      </c>
      <c r="G120" s="49">
        <f t="shared" si="37"/>
        <v>-396.3199999999997</v>
      </c>
      <c r="H120" s="40">
        <f t="shared" si="39"/>
        <v>99.04068008307392</v>
      </c>
      <c r="I120" s="53">
        <f t="shared" si="38"/>
        <v>-31059.710000000006</v>
      </c>
      <c r="J120" s="60">
        <f t="shared" si="40"/>
        <v>56.8471236033016</v>
      </c>
      <c r="K120" s="60">
        <f>F120-39659.2</f>
        <v>1257.0800000000017</v>
      </c>
      <c r="L120" s="138">
        <f>F120/39659.2</f>
        <v>1.0316970589421874</v>
      </c>
      <c r="M120" s="40">
        <f>E120-червень!E120</f>
        <v>7100</v>
      </c>
      <c r="N120" s="40">
        <f>F120-червень!F120</f>
        <v>2862.5699999999997</v>
      </c>
      <c r="O120" s="53">
        <f t="shared" si="41"/>
        <v>-4237.43</v>
      </c>
      <c r="P120" s="60">
        <f aca="true" t="shared" si="42" ref="P120:P125">N120/M120*100</f>
        <v>40.31788732394366</v>
      </c>
      <c r="Q120" s="60">
        <v>7148.5</v>
      </c>
      <c r="R120" s="138">
        <f>N120/7148.5</f>
        <v>0.4004434496747569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1658.95</v>
      </c>
      <c r="G121" s="49">
        <f t="shared" si="37"/>
        <v>-24.049999999999955</v>
      </c>
      <c r="H121" s="40">
        <f t="shared" si="39"/>
        <v>98.57100415923946</v>
      </c>
      <c r="I121" s="60">
        <f t="shared" si="38"/>
        <v>-8341.05</v>
      </c>
      <c r="J121" s="60">
        <f t="shared" si="40"/>
        <v>16.5895</v>
      </c>
      <c r="K121" s="60">
        <f>F121-1120.9</f>
        <v>538.05</v>
      </c>
      <c r="L121" s="138">
        <f>F121/1120.9</f>
        <v>1.4800160585244</v>
      </c>
      <c r="M121" s="40">
        <f>E121-червень!E121</f>
        <v>16</v>
      </c>
      <c r="N121" s="40">
        <f>F121-червень!F121</f>
        <v>0.009999999999990905</v>
      </c>
      <c r="O121" s="53">
        <f t="shared" si="41"/>
        <v>-15.990000000000009</v>
      </c>
      <c r="P121" s="60">
        <f t="shared" si="42"/>
        <v>0.06249999999994316</v>
      </c>
      <c r="Q121" s="60">
        <f>N121-496.3</f>
        <v>-496.29</v>
      </c>
      <c r="R121" s="138">
        <f>N121/496.3</f>
        <v>2.0149103364881937E-05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2136.78</v>
      </c>
      <c r="G122" s="49">
        <f t="shared" si="37"/>
        <v>-5095.719999999999</v>
      </c>
      <c r="H122" s="40">
        <f t="shared" si="39"/>
        <v>29.54414103007259</v>
      </c>
      <c r="I122" s="60">
        <f t="shared" si="38"/>
        <v>-20941.22</v>
      </c>
      <c r="J122" s="60">
        <f>F122/D122*100</f>
        <v>9.258947915763931</v>
      </c>
      <c r="K122" s="60">
        <f>F122-14177.3</f>
        <v>-12040.519999999999</v>
      </c>
      <c r="L122" s="138">
        <f>F122/14177.3</f>
        <v>0.15071840195241692</v>
      </c>
      <c r="M122" s="40">
        <f>E122-червень!E122</f>
        <v>2409.8999999999996</v>
      </c>
      <c r="N122" s="40">
        <f>F122-червень!F122</f>
        <v>19.65000000000009</v>
      </c>
      <c r="O122" s="53">
        <f t="shared" si="41"/>
        <v>-2390.2499999999995</v>
      </c>
      <c r="P122" s="60">
        <f t="shared" si="42"/>
        <v>0.815386530561438</v>
      </c>
      <c r="Q122" s="60">
        <f>N122-329.4</f>
        <v>-309.7499999999999</v>
      </c>
      <c r="R122" s="138">
        <f>N122/329.4</f>
        <v>0.05965391621129354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45621.579999999994</v>
      </c>
      <c r="G124" s="62">
        <f t="shared" si="37"/>
        <v>-5841.060000000005</v>
      </c>
      <c r="H124" s="72">
        <f t="shared" si="39"/>
        <v>88.64990214260285</v>
      </c>
      <c r="I124" s="61">
        <f t="shared" si="38"/>
        <v>-61699.61000000001</v>
      </c>
      <c r="J124" s="61">
        <f>F124/D124*100</f>
        <v>42.5093870092197</v>
      </c>
      <c r="K124" s="61">
        <f>F124-56479.4</f>
        <v>-10857.820000000007</v>
      </c>
      <c r="L124" s="139">
        <f>F124/56479.4</f>
        <v>0.8077561022248819</v>
      </c>
      <c r="M124" s="62">
        <f>M120+M121+M122+M123+M119</f>
        <v>9788.49</v>
      </c>
      <c r="N124" s="62">
        <f>N120+N121+N122+N123+N119</f>
        <v>2925.2100000000005</v>
      </c>
      <c r="O124" s="61">
        <f t="shared" si="41"/>
        <v>-6863.279999999999</v>
      </c>
      <c r="P124" s="61">
        <f t="shared" si="42"/>
        <v>29.88418029747183</v>
      </c>
      <c r="Q124" s="61">
        <f>N124-8200.3</f>
        <v>-5275.089999999998</v>
      </c>
      <c r="R124" s="139">
        <f>N124/8200.3</f>
        <v>0.35671987610209394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5297.85</v>
      </c>
      <c r="G128" s="49">
        <f aca="true" t="shared" si="43" ref="G128:G135">F128-E128</f>
        <v>282.35000000000036</v>
      </c>
      <c r="H128" s="40">
        <f>F128/E128*100</f>
        <v>105.62954839996013</v>
      </c>
      <c r="I128" s="60">
        <f aca="true" t="shared" si="44" ref="I128:I135">F128-D128</f>
        <v>-3402.1499999999996</v>
      </c>
      <c r="J128" s="60">
        <f>F128/D128*100</f>
        <v>60.8948275862069</v>
      </c>
      <c r="K128" s="60">
        <f>F128-6320.8</f>
        <v>-1022.9499999999998</v>
      </c>
      <c r="L128" s="138">
        <f>F128/6320.8</f>
        <v>0.838161308695102</v>
      </c>
      <c r="M128" s="40">
        <f>E128-червень!E128</f>
        <v>3</v>
      </c>
      <c r="N128" s="40">
        <f>F128-червень!F128</f>
        <v>2.2899999999999636</v>
      </c>
      <c r="O128" s="53">
        <f aca="true" t="shared" si="45" ref="O128:O135">N128-M128</f>
        <v>-0.7100000000000364</v>
      </c>
      <c r="P128" s="60">
        <f>N128/M128*100</f>
        <v>76.33333333333212</v>
      </c>
      <c r="Q128" s="60">
        <f>N128-19.4</f>
        <v>-17.110000000000035</v>
      </c>
      <c r="R128" s="162">
        <f>N128/19.4</f>
        <v>0.1180412371134002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0.34</v>
      </c>
      <c r="G129" s="49">
        <f t="shared" si="43"/>
        <v>0.34</v>
      </c>
      <c r="H129" s="40"/>
      <c r="I129" s="60">
        <f t="shared" si="44"/>
        <v>0.34</v>
      </c>
      <c r="J129" s="60"/>
      <c r="K129" s="60">
        <f>F129-(-0.1)</f>
        <v>0.44000000000000006</v>
      </c>
      <c r="L129" s="138">
        <f>F129/(-0.1)</f>
        <v>-3.4</v>
      </c>
      <c r="M129" s="40">
        <f>E129-червень!E129</f>
        <v>0</v>
      </c>
      <c r="N129" s="40">
        <f>F129-червень!F129</f>
        <v>0.08000000000000002</v>
      </c>
      <c r="O129" s="53">
        <f t="shared" si="45"/>
        <v>0.08000000000000002</v>
      </c>
      <c r="P129" s="60"/>
      <c r="Q129" s="60">
        <f>N129-0.3</f>
        <v>-0.21999999999999997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5330.120000000001</v>
      </c>
      <c r="G130" s="62">
        <f t="shared" si="43"/>
        <v>288.2600000000011</v>
      </c>
      <c r="H130" s="72">
        <f>F130/E130*100</f>
        <v>105.71733447576888</v>
      </c>
      <c r="I130" s="61">
        <f t="shared" si="44"/>
        <v>-3420.58</v>
      </c>
      <c r="J130" s="61">
        <f>F130/D130*100</f>
        <v>60.91078428011474</v>
      </c>
      <c r="K130" s="61">
        <f>F130-6438.4</f>
        <v>-1108.2799999999988</v>
      </c>
      <c r="L130" s="139">
        <f>G130/6438.4</f>
        <v>0.04477199304174968</v>
      </c>
      <c r="M130" s="62">
        <f>M125+M128+M129+M127</f>
        <v>5</v>
      </c>
      <c r="N130" s="62">
        <f>N125+N128+N129+N127</f>
        <v>2.3699999999999637</v>
      </c>
      <c r="O130" s="61">
        <f t="shared" si="45"/>
        <v>-2.6300000000000363</v>
      </c>
      <c r="P130" s="61">
        <f>N130/M130*100</f>
        <v>47.399999999999274</v>
      </c>
      <c r="Q130" s="61">
        <f>N130-28.2</f>
        <v>-25.830000000000034</v>
      </c>
      <c r="R130" s="137">
        <f>N130/28.2</f>
        <v>0.08404255319148808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51833.67</v>
      </c>
      <c r="G134" s="50">
        <f t="shared" si="43"/>
        <v>-6867.980000000003</v>
      </c>
      <c r="H134" s="51">
        <f>F134/E134*100</f>
        <v>88.30019258402446</v>
      </c>
      <c r="I134" s="36">
        <f t="shared" si="44"/>
        <v>-68207.82</v>
      </c>
      <c r="J134" s="36">
        <f>F134/D134*100</f>
        <v>43.17979558567625</v>
      </c>
      <c r="K134" s="36">
        <f>F134-65301.1</f>
        <v>-13467.43</v>
      </c>
      <c r="L134" s="136">
        <f>F134/65301.1</f>
        <v>0.7937641172966459</v>
      </c>
      <c r="M134" s="31">
        <f>M117+M131+M124+M130+M133+M132</f>
        <v>10143.39</v>
      </c>
      <c r="N134" s="31">
        <f>N117+N131+N124+N130+N133+N132</f>
        <v>3018.28</v>
      </c>
      <c r="O134" s="36">
        <f t="shared" si="45"/>
        <v>-7125.109999999999</v>
      </c>
      <c r="P134" s="36">
        <f>N134/M134*100</f>
        <v>29.756126896432068</v>
      </c>
      <c r="Q134" s="36">
        <f>N134-8564.5</f>
        <v>-5546.219999999999</v>
      </c>
      <c r="R134" s="136">
        <f>N134/8564.5</f>
        <v>0.35241753750948684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299549.43</v>
      </c>
      <c r="G135" s="50">
        <f t="shared" si="43"/>
        <v>-39384.130000000005</v>
      </c>
      <c r="H135" s="51">
        <f>F135/E135*100</f>
        <v>88.37998515107208</v>
      </c>
      <c r="I135" s="36">
        <f t="shared" si="44"/>
        <v>-327371.66</v>
      </c>
      <c r="J135" s="36">
        <f>F135/D135*100</f>
        <v>47.78104210850523</v>
      </c>
      <c r="K135" s="36">
        <f>F135-344461.4</f>
        <v>-44911.97000000003</v>
      </c>
      <c r="L135" s="136">
        <f>F135/344461.4</f>
        <v>0.8696168278942139</v>
      </c>
      <c r="M135" s="22">
        <f>M107+M134</f>
        <v>49665.070000000014</v>
      </c>
      <c r="N135" s="22">
        <f>N107+N134</f>
        <v>17959.449999999997</v>
      </c>
      <c r="O135" s="36">
        <f t="shared" si="45"/>
        <v>-31705.620000000017</v>
      </c>
      <c r="P135" s="36">
        <f>N135/M135*100</f>
        <v>36.16112893830612</v>
      </c>
      <c r="Q135" s="36">
        <f>N135-50620.9</f>
        <v>-32661.450000000004</v>
      </c>
      <c r="R135" s="136">
        <f>N135/50620.9</f>
        <v>0.3547833009685722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13</v>
      </c>
      <c r="D137" s="4" t="s">
        <v>118</v>
      </c>
    </row>
    <row r="138" spans="2:17" ht="31.5">
      <c r="B138" s="78" t="s">
        <v>154</v>
      </c>
      <c r="C138" s="39">
        <f>IF(O107&lt;0,ABS(O107/C137),0)</f>
        <v>1890.8084615384628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41834</v>
      </c>
      <c r="D139" s="39">
        <v>959</v>
      </c>
      <c r="N139" s="179"/>
      <c r="O139" s="179"/>
    </row>
    <row r="140" spans="3:15" ht="15.75">
      <c r="C140" s="120">
        <v>41831</v>
      </c>
      <c r="D140" s="39">
        <v>958.1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41829</v>
      </c>
      <c r="D141" s="39">
        <v>985.2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116874.29118</v>
      </c>
      <c r="E143" s="80"/>
      <c r="F143" s="100" t="s">
        <v>147</v>
      </c>
      <c r="G143" s="175" t="s">
        <v>149</v>
      </c>
      <c r="H143" s="175"/>
      <c r="I143" s="116">
        <v>103049.06922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44787.07338999999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1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5" sqref="F10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5" t="s">
        <v>240</v>
      </c>
      <c r="L4" s="166"/>
      <c r="M4" s="204"/>
      <c r="N4" s="183" t="s">
        <v>247</v>
      </c>
      <c r="O4" s="185" t="s">
        <v>136</v>
      </c>
      <c r="P4" s="185" t="s">
        <v>135</v>
      </c>
      <c r="Q4" s="165" t="s">
        <v>242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5" t="s">
        <v>231</v>
      </c>
      <c r="L4" s="166"/>
      <c r="M4" s="204"/>
      <c r="N4" s="183" t="s">
        <v>236</v>
      </c>
      <c r="O4" s="185" t="s">
        <v>136</v>
      </c>
      <c r="P4" s="185" t="s">
        <v>135</v>
      </c>
      <c r="Q4" s="165" t="s">
        <v>234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5" t="s">
        <v>219</v>
      </c>
      <c r="L4" s="166"/>
      <c r="M4" s="204"/>
      <c r="N4" s="183" t="s">
        <v>227</v>
      </c>
      <c r="O4" s="185" t="s">
        <v>136</v>
      </c>
      <c r="P4" s="185" t="s">
        <v>135</v>
      </c>
      <c r="Q4" s="165" t="s">
        <v>222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44787.07338999999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5" t="s">
        <v>196</v>
      </c>
      <c r="L4" s="166"/>
      <c r="M4" s="204"/>
      <c r="N4" s="183" t="s">
        <v>213</v>
      </c>
      <c r="O4" s="185" t="s">
        <v>136</v>
      </c>
      <c r="P4" s="185" t="s">
        <v>135</v>
      </c>
      <c r="Q4" s="165" t="s">
        <v>197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191</v>
      </c>
      <c r="F4" s="216" t="s">
        <v>116</v>
      </c>
      <c r="G4" s="218" t="s">
        <v>167</v>
      </c>
      <c r="H4" s="189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83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184</v>
      </c>
      <c r="L5" s="181"/>
      <c r="M5" s="213"/>
      <c r="N5" s="184"/>
      <c r="O5" s="221"/>
      <c r="P5" s="208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91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153</v>
      </c>
      <c r="F4" s="216" t="s">
        <v>116</v>
      </c>
      <c r="G4" s="218" t="s">
        <v>175</v>
      </c>
      <c r="H4" s="189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83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177</v>
      </c>
      <c r="L5" s="181"/>
      <c r="M5" s="192"/>
      <c r="N5" s="184"/>
      <c r="O5" s="221"/>
      <c r="P5" s="208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2014-07-14T09:26:56Z</cp:lastPrinted>
  <dcterms:created xsi:type="dcterms:W3CDTF">2003-07-28T11:27:56Z</dcterms:created>
  <dcterms:modified xsi:type="dcterms:W3CDTF">2014-07-15T08:02:07Z</dcterms:modified>
  <cp:category/>
  <cp:version/>
  <cp:contentType/>
  <cp:contentStatus/>
</cp:coreProperties>
</file>